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45" windowWidth="19320" windowHeight="8190" activeTab="0"/>
  </bookViews>
  <sheets>
    <sheet name="likv" sheetId="1" r:id="rId1"/>
  </sheets>
  <definedNames>
    <definedName name="_xlnm.Print_Area" localSheetId="0">'likv'!$A$1:$O$31</definedName>
  </definedNames>
  <calcPr fullCalcOnLoad="1"/>
</workbook>
</file>

<file path=xl/sharedStrings.xml><?xml version="1.0" encoding="utf-8"?>
<sst xmlns="http://schemas.openxmlformats.org/spreadsheetml/2006/main" count="70" uniqueCount="70">
  <si>
    <t>Január</t>
  </si>
  <si>
    <t>Február</t>
  </si>
  <si>
    <t>Március</t>
  </si>
  <si>
    <t>Bevételek összesen:</t>
  </si>
  <si>
    <t>Kiadások összesen:</t>
  </si>
  <si>
    <t>Sor-szám</t>
  </si>
  <si>
    <t>Megnevezés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</si>
  <si>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</si>
  <si>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</si>
  <si>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</si>
  <si>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</si>
  <si>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</si>
  <si>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</si>
  <si>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</si>
  <si>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</si>
  <si>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</si>
  <si>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</si>
  <si>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</si>
  <si>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</si>
  <si>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</si>
  <si>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3.</t>
  </si>
  <si>
    <t>Működési bevételek</t>
  </si>
  <si>
    <t>4.</t>
  </si>
  <si>
    <t>Támogatások</t>
  </si>
  <si>
    <t>5.</t>
  </si>
  <si>
    <t>Felhalmozási és tőkejellegű bev.</t>
  </si>
  <si>
    <t>6.</t>
  </si>
  <si>
    <t>Támogatásértékű bevételek</t>
  </si>
  <si>
    <t>7.</t>
  </si>
  <si>
    <t>Átvett pénzeszközök</t>
  </si>
  <si>
    <t>8.</t>
  </si>
  <si>
    <t>Finanszírozási bevételek</t>
  </si>
  <si>
    <t>9.</t>
  </si>
  <si>
    <t>Előző évi pénzmaradvány</t>
  </si>
  <si>
    <t>10.</t>
  </si>
  <si>
    <t>11.</t>
  </si>
  <si>
    <t>Egyéb bevételek</t>
  </si>
  <si>
    <t>12.</t>
  </si>
  <si>
    <t>13.</t>
  </si>
  <si>
    <t>Kiadások</t>
  </si>
  <si>
    <t>14.</t>
  </si>
  <si>
    <t>Személyi juttatások</t>
  </si>
  <si>
    <t>15.</t>
  </si>
  <si>
    <t>Járulékok</t>
  </si>
  <si>
    <t>16.</t>
  </si>
  <si>
    <t>Dologi jellegű kiadások</t>
  </si>
  <si>
    <t>17.</t>
  </si>
  <si>
    <t>Felhalm. és tőkejell. kiadások</t>
  </si>
  <si>
    <t>18.</t>
  </si>
  <si>
    <t>19.</t>
  </si>
  <si>
    <t>Támogatásértékű kiadások</t>
  </si>
  <si>
    <t>20.</t>
  </si>
  <si>
    <t>Ellátottak pénzbeli juttatása</t>
  </si>
  <si>
    <t>21.</t>
  </si>
  <si>
    <t>Tartalékok</t>
  </si>
  <si>
    <t>22.</t>
  </si>
  <si>
    <t>Hitelek kamatai</t>
  </si>
  <si>
    <t>23.</t>
  </si>
  <si>
    <t>Finanszírozási kiadások</t>
  </si>
  <si>
    <t>24.</t>
  </si>
  <si>
    <t>Egyéb kiadások</t>
  </si>
  <si>
    <t>25.</t>
  </si>
  <si>
    <t>26.</t>
  </si>
  <si>
    <t>Egyenleg</t>
  </si>
  <si>
    <t>Felhasználható pénzkészlet</t>
  </si>
  <si>
    <t>Támogatások, pénzeszk.átadások</t>
  </si>
  <si>
    <t>Hitelműveletek bevétele</t>
  </si>
  <si>
    <t>Pilisborosjenő község 2017. évre tervezett  bevételi és kiadási előirányzatainak felhasználási ütemterve</t>
  </si>
  <si>
    <t>12. sz. melléklet</t>
  </si>
  <si>
    <t>Pilisborosjenő, 2017. november 16.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</si>
</sst>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Ft&quot;"/>
    <numFmt numFmtId="165" formatCode="yyyy\-mm\-dd"/>
    <numFmt numFmtId="166" formatCode="#,###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sz val="8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20" fillId="0" borderId="10" xfId="56" applyFont="1" applyFill="1" applyBorder="1" applyAlignment="1" applyProtection="1">
      <alignment horizontal="center" vertical="center" wrapText="1"/>
      <protection/>
    </xf>
    <xf numFmtId="0" fontId="20" fillId="0" borderId="11" xfId="56" applyFont="1" applyFill="1" applyBorder="1" applyAlignment="1" applyProtection="1">
      <alignment horizontal="center" vertical="center"/>
      <protection/>
    </xf>
    <xf numFmtId="0" fontId="20" fillId="0" borderId="12" xfId="56" applyFont="1" applyFill="1" applyBorder="1" applyAlignment="1" applyProtection="1">
      <alignment horizontal="center" vertical="center"/>
      <protection/>
    </xf>
    <xf numFmtId="0" fontId="22" fillId="0" borderId="13" xfId="56" applyFont="1" applyFill="1" applyBorder="1" applyAlignment="1" applyProtection="1">
      <alignment horizontal="left" vertical="center" indent="1"/>
      <protection/>
    </xf>
    <xf numFmtId="0" fontId="22" fillId="0" borderId="14" xfId="56" applyFont="1" applyFill="1" applyBorder="1" applyAlignment="1" applyProtection="1">
      <alignment horizontal="left" vertical="center" indent="1"/>
      <protection/>
    </xf>
    <xf numFmtId="0" fontId="22" fillId="0" borderId="15" xfId="56" applyFont="1" applyFill="1" applyBorder="1" applyAlignment="1" applyProtection="1">
      <alignment horizontal="left" vertical="center" indent="1"/>
      <protection/>
    </xf>
    <xf numFmtId="166" fontId="22" fillId="0" borderId="15" xfId="56" applyNumberFormat="1" applyFont="1" applyFill="1" applyBorder="1" applyAlignment="1" applyProtection="1">
      <alignment vertical="center"/>
      <protection locked="0"/>
    </xf>
    <xf numFmtId="166" fontId="22" fillId="0" borderId="16" xfId="56" applyNumberFormat="1" applyFont="1" applyFill="1" applyBorder="1" applyAlignment="1" applyProtection="1">
      <alignment vertical="center"/>
      <protection/>
    </xf>
    <xf numFmtId="0" fontId="22" fillId="0" borderId="17" xfId="56" applyFont="1" applyFill="1" applyBorder="1" applyAlignment="1" applyProtection="1">
      <alignment horizontal="left" vertical="center" indent="1"/>
      <protection/>
    </xf>
    <xf numFmtId="0" fontId="22" fillId="0" borderId="18" xfId="56" applyFont="1" applyFill="1" applyBorder="1" applyAlignment="1" applyProtection="1">
      <alignment horizontal="left" vertical="center" indent="1"/>
      <protection locked="0"/>
    </xf>
    <xf numFmtId="166" fontId="22" fillId="0" borderId="18" xfId="56" applyNumberFormat="1" applyFont="1" applyFill="1" applyBorder="1" applyAlignment="1" applyProtection="1">
      <alignment vertical="center"/>
      <protection locked="0"/>
    </xf>
    <xf numFmtId="166" fontId="22" fillId="0" borderId="19" xfId="56" applyNumberFormat="1" applyFont="1" applyFill="1" applyBorder="1" applyAlignment="1" applyProtection="1">
      <alignment vertical="center"/>
      <protection/>
    </xf>
    <xf numFmtId="0" fontId="22" fillId="0" borderId="20" xfId="56" applyFont="1" applyFill="1" applyBorder="1" applyAlignment="1" applyProtection="1">
      <alignment horizontal="left" vertical="center" indent="1"/>
      <protection locked="0"/>
    </xf>
    <xf numFmtId="166" fontId="22" fillId="0" borderId="20" xfId="56" applyNumberFormat="1" applyFont="1" applyFill="1" applyBorder="1" applyAlignment="1" applyProtection="1">
      <alignment vertical="center"/>
      <protection locked="0"/>
    </xf>
    <xf numFmtId="166" fontId="22" fillId="0" borderId="21" xfId="56" applyNumberFormat="1" applyFont="1" applyFill="1" applyBorder="1" applyAlignment="1" applyProtection="1">
      <alignment vertical="center"/>
      <protection/>
    </xf>
    <xf numFmtId="0" fontId="22" fillId="0" borderId="22" xfId="56" applyFont="1" applyFill="1" applyBorder="1" applyAlignment="1" applyProtection="1">
      <alignment horizontal="left" vertical="center" indent="1"/>
      <protection locked="0"/>
    </xf>
    <xf numFmtId="166" fontId="22" fillId="0" borderId="22" xfId="56" applyNumberFormat="1" applyFont="1" applyFill="1" applyBorder="1" applyAlignment="1" applyProtection="1">
      <alignment vertical="center"/>
      <protection locked="0"/>
    </xf>
    <xf numFmtId="166" fontId="22" fillId="0" borderId="23" xfId="56" applyNumberFormat="1" applyFont="1" applyFill="1" applyBorder="1" applyAlignment="1" applyProtection="1">
      <alignment vertical="center"/>
      <protection/>
    </xf>
    <xf numFmtId="0" fontId="20" fillId="0" borderId="24" xfId="56" applyFont="1" applyFill="1" applyBorder="1" applyAlignment="1" applyProtection="1">
      <alignment horizontal="left" vertical="center" indent="1"/>
      <protection/>
    </xf>
    <xf numFmtId="166" fontId="24" fillId="0" borderId="24" xfId="56" applyNumberFormat="1" applyFont="1" applyFill="1" applyBorder="1" applyAlignment="1" applyProtection="1">
      <alignment vertical="center"/>
      <protection/>
    </xf>
    <xf numFmtId="166" fontId="24" fillId="0" borderId="25" xfId="56" applyNumberFormat="1" applyFont="1" applyFill="1" applyBorder="1" applyAlignment="1" applyProtection="1">
      <alignment vertical="center"/>
      <protection/>
    </xf>
    <xf numFmtId="0" fontId="22" fillId="0" borderId="26" xfId="56" applyFont="1" applyFill="1" applyBorder="1" applyAlignment="1" applyProtection="1">
      <alignment horizontal="left" vertical="center" indent="1"/>
      <protection/>
    </xf>
    <xf numFmtId="0" fontId="21" fillId="0" borderId="0" xfId="56" applyFill="1" applyAlignment="1" applyProtection="1">
      <alignment vertical="center"/>
      <protection locked="0"/>
    </xf>
    <xf numFmtId="0" fontId="24" fillId="0" borderId="13" xfId="56" applyFont="1" applyFill="1" applyBorder="1" applyAlignment="1" applyProtection="1">
      <alignment horizontal="left" vertical="center" indent="1"/>
      <protection/>
    </xf>
    <xf numFmtId="0" fontId="24" fillId="0" borderId="13" xfId="56" applyFont="1" applyFill="1" applyBorder="1" applyAlignment="1" applyProtection="1">
      <alignment horizontal="center"/>
      <protection/>
    </xf>
    <xf numFmtId="0" fontId="20" fillId="0" borderId="24" xfId="56" applyFont="1" applyFill="1" applyBorder="1" applyAlignment="1" applyProtection="1">
      <alignment horizontal="left" indent="1"/>
      <protection locked="0"/>
    </xf>
    <xf numFmtId="166" fontId="24" fillId="0" borderId="24" xfId="56" applyNumberFormat="1" applyFont="1" applyFill="1" applyBorder="1" applyProtection="1">
      <alignment/>
      <protection/>
    </xf>
    <xf numFmtId="166" fontId="24" fillId="0" borderId="25" xfId="56" applyNumberFormat="1" applyFont="1" applyFill="1" applyBorder="1" applyProtection="1">
      <alignment/>
      <protection/>
    </xf>
    <xf numFmtId="0" fontId="21" fillId="0" borderId="0" xfId="56" applyFill="1" applyProtection="1">
      <alignment/>
      <protection/>
    </xf>
    <xf numFmtId="0" fontId="21" fillId="0" borderId="0" xfId="56" applyFill="1" applyAlignment="1" applyProtection="1">
      <alignment vertical="center"/>
      <protection/>
    </xf>
    <xf numFmtId="166" fontId="21" fillId="0" borderId="0" xfId="56" applyNumberFormat="1" applyFill="1" applyAlignment="1" applyProtection="1">
      <alignment vertical="center"/>
      <protection locked="0"/>
    </xf>
    <xf numFmtId="0" fontId="21" fillId="0" borderId="0" xfId="56" applyFill="1" applyProtection="1">
      <alignment/>
      <protection locked="0"/>
    </xf>
    <xf numFmtId="166" fontId="19" fillId="0" borderId="0" xfId="0" applyNumberFormat="1" applyFont="1" applyAlignment="1">
      <alignment/>
    </xf>
    <xf numFmtId="0" fontId="26" fillId="0" borderId="0" xfId="0" applyFont="1" applyAlignment="1">
      <alignment/>
    </xf>
    <xf numFmtId="166" fontId="21" fillId="0" borderId="0" xfId="56" applyNumberFormat="1" applyFill="1" applyAlignment="1" applyProtection="1">
      <alignment vertical="center"/>
      <protection/>
    </xf>
    <xf numFmtId="0" fontId="2" fillId="0" borderId="14" xfId="0" applyFont="1" applyFill="1" applyBorder="1" applyAlignment="1">
      <alignment/>
    </xf>
    <xf numFmtId="0" fontId="23" fillId="0" borderId="27" xfId="56" applyFont="1" applyFill="1" applyBorder="1" applyAlignment="1" applyProtection="1">
      <alignment horizontal="left" vertical="center" indent="1"/>
      <protection/>
    </xf>
    <xf numFmtId="0" fontId="23" fillId="0" borderId="28" xfId="56" applyFont="1" applyFill="1" applyBorder="1" applyAlignment="1" applyProtection="1">
      <alignment horizontal="left" vertical="center" indent="1"/>
      <protection/>
    </xf>
    <xf numFmtId="0" fontId="23" fillId="0" borderId="29" xfId="56" applyFont="1" applyFill="1" applyBorder="1" applyAlignment="1" applyProtection="1">
      <alignment horizontal="left" vertical="center" indent="1"/>
      <protection/>
    </xf>
    <xf numFmtId="0" fontId="28" fillId="24" borderId="0" xfId="0" applyFont="1" applyFill="1" applyBorder="1" applyAlignment="1">
      <alignment horizontal="right" vertical="center" wrapText="1"/>
    </xf>
    <xf numFmtId="0" fontId="27" fillId="24" borderId="0" xfId="0" applyFont="1" applyFill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SEGED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4">
      <selection activeCell="J28" sqref="J28"/>
    </sheetView>
  </sheetViews>
  <sheetFormatPr defaultColWidth="9.00390625" defaultRowHeight="12.75"/>
  <cols>
    <col min="1" max="1" width="5.375" style="1" customWidth="1"/>
    <col min="2" max="2" width="24.625" style="1" customWidth="1"/>
    <col min="3" max="4" width="10.75390625" style="2" customWidth="1"/>
    <col min="5" max="11" width="10.75390625" style="1" customWidth="1"/>
    <col min="12" max="13" width="10.75390625" style="2" customWidth="1"/>
    <col min="14" max="15" width="10.75390625" style="1" customWidth="1"/>
    <col min="16" max="249" width="9.125" style="1" customWidth="1"/>
  </cols>
  <sheetData>
    <row r="1" spans="1:15" s="36" customFormat="1" ht="13.5">
      <c r="A1" s="42" t="s">
        <v>68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s="36" customFormat="1" ht="18.75" customHeight="1">
      <c r="A2" s="43" t="s">
        <v>67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ht="16.5" thickBot="1"/>
    <row r="4" spans="1:15" s="31" customFormat="1" ht="25.5" customHeight="1" thickBot="1">
      <c r="A4" s="3" t="s">
        <v>5</v>
      </c>
      <c r="B4" s="4" t="s">
        <v>6</v>
      </c>
      <c r="C4" s="4" t="s">
        <v>0</v>
      </c>
      <c r="D4" s="4" t="s">
        <v>1</v>
      </c>
      <c r="E4" s="4" t="s">
        <v>2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5" t="s">
        <v>16</v>
      </c>
    </row>
    <row r="5" spans="1:15" s="32" customFormat="1" ht="15" customHeight="1" thickBot="1">
      <c r="A5" s="6" t="s">
        <v>17</v>
      </c>
      <c r="B5" s="39" t="s">
        <v>18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</row>
    <row r="6" spans="1:16" s="32" customFormat="1" ht="15" customHeight="1">
      <c r="A6" s="7" t="s">
        <v>19</v>
      </c>
      <c r="B6" s="8" t="s">
        <v>64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>
        <f aca="true" t="shared" si="0" ref="O6:O29">SUM(C6:N6)</f>
        <v>0</v>
      </c>
      <c r="P6" s="37"/>
    </row>
    <row r="7" spans="1:15" s="25" customFormat="1" ht="13.5" customHeight="1">
      <c r="A7" s="11" t="s">
        <v>20</v>
      </c>
      <c r="B7" s="12" t="s">
        <v>21</v>
      </c>
      <c r="C7" s="13">
        <v>6013</v>
      </c>
      <c r="D7" s="13">
        <v>6013</v>
      </c>
      <c r="E7" s="13">
        <f>150700+6013+10000</f>
        <v>166713</v>
      </c>
      <c r="F7" s="13">
        <v>6013</v>
      </c>
      <c r="G7" s="13">
        <v>6013</v>
      </c>
      <c r="H7" s="13">
        <v>6013</v>
      </c>
      <c r="I7" s="13">
        <v>6013</v>
      </c>
      <c r="J7" s="13">
        <v>6013</v>
      </c>
      <c r="K7" s="13">
        <f>150700+6013+10000</f>
        <v>166713</v>
      </c>
      <c r="L7" s="13">
        <v>6013</v>
      </c>
      <c r="M7" s="13">
        <f>6013+3965</f>
        <v>9978</v>
      </c>
      <c r="N7" s="13">
        <f>10000+6012</f>
        <v>16012</v>
      </c>
      <c r="O7" s="14">
        <f t="shared" si="0"/>
        <v>407520</v>
      </c>
    </row>
    <row r="8" spans="1:16" s="25" customFormat="1" ht="13.5" customHeight="1">
      <c r="A8" s="11" t="s">
        <v>22</v>
      </c>
      <c r="B8" s="15" t="s">
        <v>23</v>
      </c>
      <c r="C8" s="16">
        <f>214118/12</f>
        <v>17843.166666666668</v>
      </c>
      <c r="D8" s="16">
        <f aca="true" t="shared" si="1" ref="D8:J8">214118/12</f>
        <v>17843.166666666668</v>
      </c>
      <c r="E8" s="16">
        <f>214118/12+287+406</f>
        <v>18536.166666666668</v>
      </c>
      <c r="F8" s="16">
        <f t="shared" si="1"/>
        <v>17843.166666666668</v>
      </c>
      <c r="G8" s="16">
        <f t="shared" si="1"/>
        <v>17843.166666666668</v>
      </c>
      <c r="H8" s="16">
        <f t="shared" si="1"/>
        <v>17843.166666666668</v>
      </c>
      <c r="I8" s="16">
        <f t="shared" si="1"/>
        <v>17843.166666666668</v>
      </c>
      <c r="J8" s="16">
        <f>214118/12+340</f>
        <v>18183.166666666668</v>
      </c>
      <c r="K8" s="16">
        <f>214118/12+499+2000</f>
        <v>20342.166666666668</v>
      </c>
      <c r="L8" s="16">
        <f>214118/12+499+2000</f>
        <v>20342.166666666668</v>
      </c>
      <c r="M8" s="16">
        <f>214118/12+499+2000</f>
        <v>20342.166666666668</v>
      </c>
      <c r="N8" s="16">
        <f>214118/12+124+499+1023</f>
        <v>19489.166666666668</v>
      </c>
      <c r="O8" s="17">
        <f t="shared" si="0"/>
        <v>224293.99999999997</v>
      </c>
      <c r="P8" s="33"/>
    </row>
    <row r="9" spans="1:15" s="25" customFormat="1" ht="13.5" customHeight="1">
      <c r="A9" s="11" t="s">
        <v>24</v>
      </c>
      <c r="B9" s="12" t="s">
        <v>25</v>
      </c>
      <c r="C9" s="13">
        <v>0</v>
      </c>
      <c r="D9" s="13">
        <v>0</v>
      </c>
      <c r="E9" s="13">
        <v>12000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77540</v>
      </c>
      <c r="L9" s="13">
        <v>0</v>
      </c>
      <c r="M9" s="13">
        <v>0</v>
      </c>
      <c r="N9" s="13">
        <v>0</v>
      </c>
      <c r="O9" s="14">
        <f t="shared" si="0"/>
        <v>89540</v>
      </c>
    </row>
    <row r="10" spans="1:15" s="25" customFormat="1" ht="13.5" customHeight="1">
      <c r="A10" s="11" t="s">
        <v>26</v>
      </c>
      <c r="B10" s="12" t="s">
        <v>27</v>
      </c>
      <c r="C10" s="13">
        <v>0</v>
      </c>
      <c r="D10" s="13">
        <v>0</v>
      </c>
      <c r="E10" s="13">
        <v>0</v>
      </c>
      <c r="F10" s="13">
        <v>7000</v>
      </c>
      <c r="G10" s="13"/>
      <c r="H10" s="13"/>
      <c r="I10" s="13"/>
      <c r="J10" s="13">
        <v>400000</v>
      </c>
      <c r="K10" s="13"/>
      <c r="L10" s="13"/>
      <c r="M10" s="13">
        <v>95342</v>
      </c>
      <c r="N10" s="13"/>
      <c r="O10" s="14">
        <f t="shared" si="0"/>
        <v>502342</v>
      </c>
    </row>
    <row r="11" spans="1:15" s="25" customFormat="1" ht="13.5" customHeight="1">
      <c r="A11" s="11" t="s">
        <v>28</v>
      </c>
      <c r="B11" s="12" t="s">
        <v>29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>
        <f t="shared" si="0"/>
        <v>0</v>
      </c>
    </row>
    <row r="12" spans="1:15" s="25" customFormat="1" ht="13.5" customHeight="1">
      <c r="A12" s="11" t="s">
        <v>30</v>
      </c>
      <c r="B12" s="12" t="s">
        <v>31</v>
      </c>
      <c r="C12" s="13">
        <f>17212-878</f>
        <v>16334</v>
      </c>
      <c r="D12" s="13">
        <f aca="true" t="shared" si="2" ref="D12:J12">17212-878</f>
        <v>16334</v>
      </c>
      <c r="E12" s="13">
        <f>17212-878+591</f>
        <v>16925</v>
      </c>
      <c r="F12" s="13">
        <f t="shared" si="2"/>
        <v>16334</v>
      </c>
      <c r="G12" s="13">
        <f t="shared" si="2"/>
        <v>16334</v>
      </c>
      <c r="H12" s="13">
        <f t="shared" si="2"/>
        <v>16334</v>
      </c>
      <c r="I12" s="13">
        <f t="shared" si="2"/>
        <v>16334</v>
      </c>
      <c r="J12" s="13">
        <f>17212-878+340</f>
        <v>16674</v>
      </c>
      <c r="K12" s="13">
        <f>17212-878+696+2000</f>
        <v>19030</v>
      </c>
      <c r="L12" s="13">
        <f>17212-878+696+2000</f>
        <v>19030</v>
      </c>
      <c r="M12" s="13">
        <f>17212-878+696+2000</f>
        <v>19030</v>
      </c>
      <c r="N12" s="13">
        <f>17212-878+697+10+643</f>
        <v>17684</v>
      </c>
      <c r="O12" s="14">
        <f>SUM(C12:N12)</f>
        <v>206377</v>
      </c>
    </row>
    <row r="13" spans="1:15" s="25" customFormat="1" ht="13.5" customHeight="1">
      <c r="A13" s="11" t="s">
        <v>32</v>
      </c>
      <c r="B13" s="12" t="s">
        <v>33</v>
      </c>
      <c r="C13" s="13"/>
      <c r="D13" s="13"/>
      <c r="E13" s="13"/>
      <c r="F13" s="13"/>
      <c r="G13" s="13"/>
      <c r="H13" s="13">
        <v>89726</v>
      </c>
      <c r="I13" s="13"/>
      <c r="J13" s="13"/>
      <c r="K13" s="13"/>
      <c r="L13" s="13"/>
      <c r="M13" s="13"/>
      <c r="N13" s="13"/>
      <c r="O13" s="14">
        <f t="shared" si="0"/>
        <v>89726</v>
      </c>
    </row>
    <row r="14" spans="1:15" s="25" customFormat="1" ht="13.5" customHeight="1">
      <c r="A14" s="11" t="s">
        <v>34</v>
      </c>
      <c r="B14" s="12" t="s">
        <v>66</v>
      </c>
      <c r="C14" s="13"/>
      <c r="D14" s="13"/>
      <c r="E14" s="13"/>
      <c r="F14" s="13"/>
      <c r="G14" s="13"/>
      <c r="H14" s="13">
        <v>0</v>
      </c>
      <c r="I14" s="13"/>
      <c r="J14" s="13"/>
      <c r="K14" s="13">
        <v>800000</v>
      </c>
      <c r="L14" s="13"/>
      <c r="M14" s="13"/>
      <c r="N14" s="13"/>
      <c r="O14" s="14">
        <f t="shared" si="0"/>
        <v>800000</v>
      </c>
    </row>
    <row r="15" spans="1:15" s="25" customFormat="1" ht="13.5" customHeight="1" thickBot="1">
      <c r="A15" s="7" t="s">
        <v>35</v>
      </c>
      <c r="B15" s="18" t="s">
        <v>36</v>
      </c>
      <c r="C15" s="19"/>
      <c r="D15" s="19"/>
      <c r="E15" s="19"/>
      <c r="F15" s="19"/>
      <c r="G15" s="19"/>
      <c r="H15" s="19">
        <v>25000</v>
      </c>
      <c r="I15" s="19"/>
      <c r="J15" s="19"/>
      <c r="K15" s="19"/>
      <c r="L15" s="19"/>
      <c r="M15" s="19"/>
      <c r="N15" s="19">
        <v>250000</v>
      </c>
      <c r="O15" s="20">
        <f t="shared" si="0"/>
        <v>275000</v>
      </c>
    </row>
    <row r="16" spans="1:15" s="32" customFormat="1" ht="15.75" customHeight="1" thickBot="1">
      <c r="A16" s="6" t="s">
        <v>37</v>
      </c>
      <c r="B16" s="21" t="s">
        <v>3</v>
      </c>
      <c r="C16" s="22">
        <f>SUM(C6:C15)</f>
        <v>40190.16666666667</v>
      </c>
      <c r="D16" s="22">
        <f aca="true" t="shared" si="3" ref="D16:N16">SUM(D6:D15)</f>
        <v>40190.16666666667</v>
      </c>
      <c r="E16" s="22">
        <f t="shared" si="3"/>
        <v>214174.16666666666</v>
      </c>
      <c r="F16" s="22">
        <f t="shared" si="3"/>
        <v>47190.16666666667</v>
      </c>
      <c r="G16" s="22">
        <f t="shared" si="3"/>
        <v>40190.16666666667</v>
      </c>
      <c r="H16" s="22">
        <f t="shared" si="3"/>
        <v>154916.1666666667</v>
      </c>
      <c r="I16" s="22">
        <f t="shared" si="3"/>
        <v>40190.16666666667</v>
      </c>
      <c r="J16" s="22">
        <f t="shared" si="3"/>
        <v>440870.1666666667</v>
      </c>
      <c r="K16" s="22">
        <f t="shared" si="3"/>
        <v>1083625.1666666665</v>
      </c>
      <c r="L16" s="22">
        <f t="shared" si="3"/>
        <v>45385.16666666667</v>
      </c>
      <c r="M16" s="22">
        <f t="shared" si="3"/>
        <v>144692.1666666667</v>
      </c>
      <c r="N16" s="22">
        <f t="shared" si="3"/>
        <v>303185.1666666667</v>
      </c>
      <c r="O16" s="23">
        <f>SUM(C16:N16)</f>
        <v>2594798.9999999995</v>
      </c>
    </row>
    <row r="17" spans="1:15" s="32" customFormat="1" ht="15" customHeight="1" thickBot="1">
      <c r="A17" s="6" t="s">
        <v>38</v>
      </c>
      <c r="B17" s="39" t="s">
        <v>39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1"/>
    </row>
    <row r="18" spans="1:15" s="25" customFormat="1" ht="13.5" customHeight="1">
      <c r="A18" s="24" t="s">
        <v>40</v>
      </c>
      <c r="B18" s="15" t="s">
        <v>41</v>
      </c>
      <c r="C18" s="16">
        <f>14392+274</f>
        <v>14666</v>
      </c>
      <c r="D18" s="16">
        <f>14392+274</f>
        <v>14666</v>
      </c>
      <c r="E18" s="16">
        <f>14392+274+580</f>
        <v>15246</v>
      </c>
      <c r="F18" s="16">
        <f>14392+274+1416</f>
        <v>16082</v>
      </c>
      <c r="G18" s="16">
        <f>14392+274+1417</f>
        <v>16083</v>
      </c>
      <c r="H18" s="16">
        <f>14392+274+1416</f>
        <v>16082</v>
      </c>
      <c r="I18" s="16">
        <f>14392+274+1417</f>
        <v>16083</v>
      </c>
      <c r="J18" s="16">
        <f>14392+274+1416</f>
        <v>16082</v>
      </c>
      <c r="K18" s="16">
        <f>14392+274+1417</f>
        <v>16083</v>
      </c>
      <c r="L18" s="16">
        <f>14392+274+533+89+444</f>
        <v>15732</v>
      </c>
      <c r="M18" s="16">
        <f>14392+274+533+500</f>
        <v>15699</v>
      </c>
      <c r="N18" s="16">
        <f>14392+274+533</f>
        <v>15199</v>
      </c>
      <c r="O18" s="17">
        <f t="shared" si="0"/>
        <v>187703</v>
      </c>
    </row>
    <row r="19" spans="1:17" s="25" customFormat="1" ht="13.5" customHeight="1">
      <c r="A19" s="11" t="s">
        <v>42</v>
      </c>
      <c r="B19" s="12" t="s">
        <v>43</v>
      </c>
      <c r="C19" s="16">
        <f>3166+102</f>
        <v>3268</v>
      </c>
      <c r="D19" s="16">
        <f>3166+102</f>
        <v>3268</v>
      </c>
      <c r="E19" s="16">
        <f>3166+102+113</f>
        <v>3381</v>
      </c>
      <c r="F19" s="16">
        <f>3166+102+262</f>
        <v>3530</v>
      </c>
      <c r="G19" s="16">
        <f>3166+102+262</f>
        <v>3530</v>
      </c>
      <c r="H19" s="16">
        <f>3166+102+262</f>
        <v>3530</v>
      </c>
      <c r="I19" s="16">
        <f>3166+102+262</f>
        <v>3530</v>
      </c>
      <c r="J19" s="16">
        <f>3166+102+262</f>
        <v>3530</v>
      </c>
      <c r="K19" s="16">
        <f>3166+102+115+263</f>
        <v>3646</v>
      </c>
      <c r="L19" s="16">
        <f>3166+102+115</f>
        <v>3383</v>
      </c>
      <c r="M19" s="16">
        <f>3166+102+115</f>
        <v>3383</v>
      </c>
      <c r="N19" s="16">
        <f>3166+105+115</f>
        <v>3386</v>
      </c>
      <c r="O19" s="14">
        <f>SUM(C19:N19)</f>
        <v>41365</v>
      </c>
      <c r="P19" s="33"/>
      <c r="Q19" s="33"/>
    </row>
    <row r="20" spans="1:15" s="25" customFormat="1" ht="13.5" customHeight="1">
      <c r="A20" s="11" t="s">
        <v>44</v>
      </c>
      <c r="B20" s="12" t="s">
        <v>45</v>
      </c>
      <c r="C20" s="16">
        <v>12543</v>
      </c>
      <c r="D20" s="16">
        <v>12542</v>
      </c>
      <c r="E20" s="16">
        <f>12543+200</f>
        <v>12743</v>
      </c>
      <c r="F20" s="16">
        <v>12542</v>
      </c>
      <c r="G20" s="16">
        <v>12543</v>
      </c>
      <c r="H20" s="16">
        <f>12542+2500</f>
        <v>15042</v>
      </c>
      <c r="I20" s="16">
        <f>12543+303</f>
        <v>12846</v>
      </c>
      <c r="J20" s="16">
        <f>12542+5200</f>
        <v>17742</v>
      </c>
      <c r="K20" s="16">
        <f>12543+828+340</f>
        <v>13711</v>
      </c>
      <c r="L20" s="16">
        <f>12543+828+387</f>
        <v>13758</v>
      </c>
      <c r="M20" s="16">
        <f>12543+828</f>
        <v>13371</v>
      </c>
      <c r="N20" s="16">
        <f>12543+828+390</f>
        <v>13761</v>
      </c>
      <c r="O20" s="14">
        <f t="shared" si="0"/>
        <v>163144</v>
      </c>
    </row>
    <row r="21" spans="1:15" s="25" customFormat="1" ht="13.5" customHeight="1">
      <c r="A21" s="11" t="s">
        <v>46</v>
      </c>
      <c r="B21" s="12" t="s">
        <v>47</v>
      </c>
      <c r="C21" s="13">
        <v>0</v>
      </c>
      <c r="D21" s="13"/>
      <c r="E21" s="13"/>
      <c r="F21" s="13">
        <v>12000</v>
      </c>
      <c r="G21" s="13">
        <v>64459</v>
      </c>
      <c r="H21" s="13">
        <v>63819</v>
      </c>
      <c r="I21" s="13">
        <f>100000-92101+6500</f>
        <v>14399</v>
      </c>
      <c r="J21" s="13">
        <v>500000</v>
      </c>
      <c r="K21" s="13">
        <v>200000</v>
      </c>
      <c r="L21" s="13">
        <v>243963</v>
      </c>
      <c r="M21" s="13">
        <v>200400</v>
      </c>
      <c r="N21" s="13">
        <f>49589+136992</f>
        <v>186581</v>
      </c>
      <c r="O21" s="14">
        <f t="shared" si="0"/>
        <v>1485621</v>
      </c>
    </row>
    <row r="22" spans="1:17" s="25" customFormat="1" ht="13.5" customHeight="1">
      <c r="A22" s="11" t="s">
        <v>48</v>
      </c>
      <c r="B22" s="12" t="s">
        <v>65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4">
        <f t="shared" si="0"/>
        <v>0</v>
      </c>
      <c r="Q22" s="33"/>
    </row>
    <row r="23" spans="1:15" s="25" customFormat="1" ht="13.5" customHeight="1">
      <c r="A23" s="11" t="s">
        <v>49</v>
      </c>
      <c r="B23" s="12" t="s">
        <v>50</v>
      </c>
      <c r="C23" s="13">
        <v>571</v>
      </c>
      <c r="D23" s="13">
        <v>570</v>
      </c>
      <c r="E23" s="13">
        <v>571</v>
      </c>
      <c r="F23" s="13">
        <f>570+5264</f>
        <v>5834</v>
      </c>
      <c r="G23" s="13">
        <f>570+5264</f>
        <v>5834</v>
      </c>
      <c r="H23" s="13">
        <v>571</v>
      </c>
      <c r="I23" s="13">
        <f>570+5265+100-3100</f>
        <v>2835</v>
      </c>
      <c r="J23" s="13">
        <v>571</v>
      </c>
      <c r="K23" s="13">
        <v>571</v>
      </c>
      <c r="L23" s="13">
        <f>570+1266+4000</f>
        <v>5836</v>
      </c>
      <c r="M23" s="13">
        <f>571+850</f>
        <v>1421</v>
      </c>
      <c r="N23" s="13">
        <v>571</v>
      </c>
      <c r="O23" s="14">
        <f t="shared" si="0"/>
        <v>25756</v>
      </c>
    </row>
    <row r="24" spans="1:15" s="25" customFormat="1" ht="13.5" customHeight="1">
      <c r="A24" s="11" t="s">
        <v>51</v>
      </c>
      <c r="B24" s="12" t="s">
        <v>52</v>
      </c>
      <c r="C24" s="13">
        <f>19835/12+125</f>
        <v>1777.9166666666667</v>
      </c>
      <c r="D24" s="13">
        <f aca="true" t="shared" si="4" ref="D24:M24">19835/12+125</f>
        <v>1777.9166666666667</v>
      </c>
      <c r="E24" s="13">
        <f t="shared" si="4"/>
        <v>1777.9166666666667</v>
      </c>
      <c r="F24" s="13">
        <f t="shared" si="4"/>
        <v>1777.9166666666667</v>
      </c>
      <c r="G24" s="13">
        <f t="shared" si="4"/>
        <v>1777.9166666666667</v>
      </c>
      <c r="H24" s="13">
        <f t="shared" si="4"/>
        <v>1777.9166666666667</v>
      </c>
      <c r="I24" s="13">
        <f t="shared" si="4"/>
        <v>1777.9166666666667</v>
      </c>
      <c r="J24" s="13">
        <f t="shared" si="4"/>
        <v>1777.9166666666667</v>
      </c>
      <c r="K24" s="13">
        <f t="shared" si="4"/>
        <v>1777.9166666666667</v>
      </c>
      <c r="L24" s="13">
        <f t="shared" si="4"/>
        <v>1777.9166666666667</v>
      </c>
      <c r="M24" s="13">
        <f t="shared" si="4"/>
        <v>1777.9166666666667</v>
      </c>
      <c r="N24" s="13">
        <f>19835/12+125+640</f>
        <v>2417.916666666667</v>
      </c>
      <c r="O24" s="14">
        <f t="shared" si="0"/>
        <v>21975</v>
      </c>
    </row>
    <row r="25" spans="1:15" s="25" customFormat="1" ht="13.5" customHeight="1">
      <c r="A25" s="11" t="s">
        <v>53</v>
      </c>
      <c r="B25" s="12" t="s">
        <v>54</v>
      </c>
      <c r="C25" s="13"/>
      <c r="D25" s="13"/>
      <c r="E25" s="13">
        <v>15000</v>
      </c>
      <c r="F25" s="13"/>
      <c r="G25" s="13">
        <v>15000</v>
      </c>
      <c r="H25" s="13"/>
      <c r="I25" s="13">
        <v>38071</v>
      </c>
      <c r="J25" s="13">
        <v>13567</v>
      </c>
      <c r="K25" s="13">
        <f>51164+9524-14803</f>
        <v>45885</v>
      </c>
      <c r="L25" s="13">
        <v>13720</v>
      </c>
      <c r="M25" s="13">
        <v>69556</v>
      </c>
      <c r="N25" s="13"/>
      <c r="O25" s="14">
        <f t="shared" si="0"/>
        <v>210799</v>
      </c>
    </row>
    <row r="26" spans="1:16" s="25" customFormat="1" ht="13.5" customHeight="1">
      <c r="A26" s="11" t="s">
        <v>55</v>
      </c>
      <c r="B26" s="12" t="s">
        <v>56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f t="shared" si="0"/>
        <v>0</v>
      </c>
      <c r="P26" s="33"/>
    </row>
    <row r="27" spans="1:15" s="25" customFormat="1" ht="13.5" customHeight="1">
      <c r="A27" s="11" t="s">
        <v>57</v>
      </c>
      <c r="B27" s="12" t="s">
        <v>58</v>
      </c>
      <c r="C27" s="13">
        <f>17212-878</f>
        <v>16334</v>
      </c>
      <c r="D27" s="13">
        <f aca="true" t="shared" si="5" ref="D27:J27">17212-878</f>
        <v>16334</v>
      </c>
      <c r="E27" s="13">
        <f>17212-878+591</f>
        <v>16925</v>
      </c>
      <c r="F27" s="13">
        <f t="shared" si="5"/>
        <v>16334</v>
      </c>
      <c r="G27" s="13">
        <f t="shared" si="5"/>
        <v>16334</v>
      </c>
      <c r="H27" s="13">
        <f t="shared" si="5"/>
        <v>16334</v>
      </c>
      <c r="I27" s="13">
        <f t="shared" si="5"/>
        <v>16334</v>
      </c>
      <c r="J27" s="13">
        <f>17212-878+340</f>
        <v>16674</v>
      </c>
      <c r="K27" s="13">
        <f>17212-878+696+2000</f>
        <v>19030</v>
      </c>
      <c r="L27" s="13">
        <f>17212-878+696+2000</f>
        <v>19030</v>
      </c>
      <c r="M27" s="13">
        <f>17212-878+696+2000</f>
        <v>19030</v>
      </c>
      <c r="N27" s="13">
        <f>17212-878+697+10+643</f>
        <v>17684</v>
      </c>
      <c r="O27" s="14">
        <f t="shared" si="0"/>
        <v>206377</v>
      </c>
    </row>
    <row r="28" spans="1:15" s="25" customFormat="1" ht="13.5" customHeight="1" thickBot="1">
      <c r="A28" s="11" t="s">
        <v>59</v>
      </c>
      <c r="B28" s="12" t="s">
        <v>60</v>
      </c>
      <c r="C28" s="13"/>
      <c r="D28" s="13"/>
      <c r="E28" s="13">
        <v>7059</v>
      </c>
      <c r="F28" s="13"/>
      <c r="G28" s="13"/>
      <c r="H28" s="13"/>
      <c r="I28" s="13"/>
      <c r="J28" s="13"/>
      <c r="K28" s="13"/>
      <c r="L28" s="13"/>
      <c r="M28" s="13"/>
      <c r="N28" s="13">
        <v>245000</v>
      </c>
      <c r="O28" s="14">
        <f t="shared" si="0"/>
        <v>252059</v>
      </c>
    </row>
    <row r="29" spans="1:15" s="32" customFormat="1" ht="15.75" customHeight="1" thickBot="1">
      <c r="A29" s="26" t="s">
        <v>61</v>
      </c>
      <c r="B29" s="21" t="s">
        <v>4</v>
      </c>
      <c r="C29" s="22">
        <f aca="true" t="shared" si="6" ref="C29:N29">SUM(C18:C28)</f>
        <v>49159.916666666664</v>
      </c>
      <c r="D29" s="22">
        <f t="shared" si="6"/>
        <v>49157.916666666664</v>
      </c>
      <c r="E29" s="22">
        <f t="shared" si="6"/>
        <v>72702.91666666666</v>
      </c>
      <c r="F29" s="22">
        <f t="shared" si="6"/>
        <v>68099.91666666666</v>
      </c>
      <c r="G29" s="22">
        <f t="shared" si="6"/>
        <v>135560.9166666667</v>
      </c>
      <c r="H29" s="22">
        <f t="shared" si="6"/>
        <v>117155.91666666667</v>
      </c>
      <c r="I29" s="22">
        <f t="shared" si="6"/>
        <v>105875.91666666666</v>
      </c>
      <c r="J29" s="22">
        <f t="shared" si="6"/>
        <v>569943.9166666666</v>
      </c>
      <c r="K29" s="22">
        <f t="shared" si="6"/>
        <v>300703.9166666666</v>
      </c>
      <c r="L29" s="22">
        <f t="shared" si="6"/>
        <v>317199.9166666667</v>
      </c>
      <c r="M29" s="22">
        <f t="shared" si="6"/>
        <v>324637.9166666666</v>
      </c>
      <c r="N29" s="22">
        <f t="shared" si="6"/>
        <v>484599.9166666666</v>
      </c>
      <c r="O29" s="23">
        <f t="shared" si="0"/>
        <v>2594799</v>
      </c>
    </row>
    <row r="30" spans="1:15" s="34" customFormat="1" ht="16.5" thickBot="1">
      <c r="A30" s="27" t="s">
        <v>62</v>
      </c>
      <c r="B30" s="28" t="s">
        <v>63</v>
      </c>
      <c r="C30" s="29">
        <f aca="true" t="shared" si="7" ref="C30:M30">C16-C29</f>
        <v>-8969.749999999993</v>
      </c>
      <c r="D30" s="29">
        <f t="shared" si="7"/>
        <v>-8967.749999999993</v>
      </c>
      <c r="E30" s="29">
        <f t="shared" si="7"/>
        <v>141471.25</v>
      </c>
      <c r="F30" s="29">
        <f t="shared" si="7"/>
        <v>-20909.749999999985</v>
      </c>
      <c r="G30" s="29">
        <f t="shared" si="7"/>
        <v>-95370.75000000001</v>
      </c>
      <c r="H30" s="29">
        <f t="shared" si="7"/>
        <v>37760.250000000015</v>
      </c>
      <c r="I30" s="29">
        <f t="shared" si="7"/>
        <v>-65685.74999999999</v>
      </c>
      <c r="J30" s="29">
        <f t="shared" si="7"/>
        <v>-129073.74999999994</v>
      </c>
      <c r="K30" s="29">
        <f t="shared" si="7"/>
        <v>782921.2499999999</v>
      </c>
      <c r="L30" s="29">
        <f t="shared" si="7"/>
        <v>-271814.75</v>
      </c>
      <c r="M30" s="29">
        <f t="shared" si="7"/>
        <v>-179945.74999999994</v>
      </c>
      <c r="N30" s="29">
        <f>N16-N29+1</f>
        <v>-181413.74999999994</v>
      </c>
      <c r="O30" s="30">
        <f>O16-O29</f>
        <v>0</v>
      </c>
    </row>
    <row r="31" spans="1:15" ht="15.75">
      <c r="A31" s="38" t="s">
        <v>69</v>
      </c>
      <c r="O31" s="35"/>
    </row>
    <row r="32" ht="15.75">
      <c r="O32" s="35"/>
    </row>
  </sheetData>
  <sheetProtection selectLockedCells="1" selectUnlockedCells="1"/>
  <mergeCells count="4">
    <mergeCell ref="B5:O5"/>
    <mergeCell ref="B17:O17"/>
    <mergeCell ref="A1:O1"/>
    <mergeCell ref="A2:O2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CsillagK</cp:lastModifiedBy>
  <cp:lastPrinted>2017-03-27T07:53:28Z</cp:lastPrinted>
  <dcterms:created xsi:type="dcterms:W3CDTF">2012-03-07T13:43:46Z</dcterms:created>
  <dcterms:modified xsi:type="dcterms:W3CDTF">2017-11-09T05:03:39Z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